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edmina\Desktop\"/>
    </mc:Choice>
  </mc:AlternateContent>
  <xr:revisionPtr revIDLastSave="0" documentId="13_ncr:1_{F4645C0C-E0DE-41BF-AB36-64783AA326D4}" xr6:coauthVersionLast="47" xr6:coauthVersionMax="47" xr10:uidLastSave="{00000000-0000-0000-0000-000000000000}"/>
  <bookViews>
    <workbookView xWindow="-120" yWindow="-120" windowWidth="19440" windowHeight="1500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81029"/>
</workbook>
</file>

<file path=xl/calcChain.xml><?xml version="1.0" encoding="utf-8"?>
<calcChain xmlns="http://schemas.openxmlformats.org/spreadsheetml/2006/main"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0" i="2" l="1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<sst xmlns="http://schemas.openxmlformats.org/spreadsheetml/2006/main" count="1527" uniqueCount="548">
  <si>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</si>
  <si>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</si>
  <si>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</si>
  <si>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</si>
  <si>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</si>
  <si>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</si>
  <si>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</si>
  <si>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</si>
  <si>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</si>
  <si>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</si>
  <si>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</si>
  <si>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</si>
  <si>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</si>
  <si>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</si>
  <si>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</si>
  <si>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</si>
  <si>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</si>
  <si>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</si>
  <si>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</si>
  <si>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</si>
  <si>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</si>
  <si>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</si>
  <si>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</si>
  <si>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</si>
  <si>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</si>
  <si>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</si>
  <si>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</si>
  <si>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</si>
  <si>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</si>
  <si>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</si>
  <si>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</si>
  <si>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</si>
  <si>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</si>
  <si>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</si>
  <si>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</si>
  <si>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</si>
  <si>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</si>
  <si>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</si>
  <si>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</si>
  <si>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</si>
  <si>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</si>
  <si>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</si>
  <si>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</si>
  <si>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</si>
  <si>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</si>
  <si>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</si>
  <si>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</si>
  <si>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</si>
  <si>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</si>
  <si>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</si>
  <si>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</si>
  <si>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</si>
  <si>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</si>
  <si>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</si>
  <si>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</si>
  <si>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</si>
  <si>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</si>
  <si>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</si>
  <si>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</si>
  <si>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</si>
  <si>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</si>
  <si>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</si>
  <si>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</si>
  <si>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</si>
  <si>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</si>
  <si>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</si>
  <si>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</si>
  <si>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</si>
  <si>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</si>
  <si>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</si>
  <si>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</si>
  <si>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</si>
  <si>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</si>
  <si>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</si>
  <si>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</si>
  <si>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</si>
  <si>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</si>
  <si>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</si>
  <si>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</si>
  <si>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</si>
  <si>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</si>
  <si>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</si>
  <si>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</si>
  <si>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</si>
  <si>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</si>
  <si>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</si>
  <si>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</si>
  <si>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</si>
  <si>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</si>
  <si>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</si>
  <si>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</si>
  <si>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</si>
  <si>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</si>
  <si>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</si>
  <si>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</si>
  <si>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</si>
  <si>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</si>
  <si>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</si>
  <si>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</si>
  <si>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</si>
  <si>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</si>
  <si>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</si>
  <si>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</si>
  <si>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</si>
  <si>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</si>
  <si>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</si>
  <si>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</si>
  <si>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</si>
  <si>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</si>
  <si>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</si>
  <si>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</si>
  <si>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</si>
  <si>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</si>
  <si>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</si>
  <si>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</si>
  <si>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</si>
  <si>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</si>
  <si>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</si>
  <si>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</si>
  <si>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</si>
  <si>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</si>
  <si>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</si>
  <si>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</si>
  <si>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</si>
  <si>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</si>
  <si>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</si>
  <si>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</si>
  <si>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</si>
  <si>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</si>
  <si>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</si>
  <si>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</si>
  <si>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</si>
  <si>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</si>
  <si>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</si>
  <si>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</si>
  <si>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</si>
  <si>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</si>
  <si>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</si>
  <si>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</si>
  <si>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</si>
  <si>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</si>
  <si>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</si>
  <si>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</si>
  <si>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</si>
  <si>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</si>
  <si>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</si>
  <si>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</si>
  <si>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</si>
  <si>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</si>
  <si>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</si>
  <si>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</si>
  <si>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</si>
  <si>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</si>
  <si>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</si>
  <si>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</si>
  <si>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</si>
  <si>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</si>
  <si>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</si>
  <si>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</si>
  <si>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</si>
  <si>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</si>
  <si>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</si>
  <si>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</si>
  <si>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</si>
  <si>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</si>
  <si>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</si>
  <si>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</si>
  <si>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</si>
  <si>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</si>
  <si>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</si>
  <si>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</si>
  <si>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</si>
  <si>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</si>
  <si>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</si>
  <si>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</si>
  <si>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</si>
  <si>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</si>
  <si>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</si>
  <si>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</si>
  <si>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</si>
  <si>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</si>
  <si>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</si>
  <si>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</si>
  <si>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</si>
  <si>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</si>
  <si>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</si>
  <si>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</si>
  <si>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</si>
  <si>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</si>
  <si>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</si>
  <si>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</si>
  <si>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</si>
  <si>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</si>
  <si>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</si>
  <si>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</si>
  <si>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</si>
  <si>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</si>
  <si>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</si>
  <si>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</si>
  <si>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</si>
  <si>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</si>
  <si>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</si>
  <si>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</si>
  <si>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</si>
  <si>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</si>
  <si>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</si>
  <si>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</si>
  <si>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</si>
  <si>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</si>
  <si>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</si>
  <si>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</si>
  <si>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</si>
  <si>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</si>
  <si>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</si>
  <si>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</si>
  <si>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</si>
  <si>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</si>
  <si>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</si>
  <si>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</si>
  <si>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</si>
  <si>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</si>
  <si>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</si>
  <si>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</si>
  <si>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</si>
  <si>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</si>
  <si>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</si>
  <si>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</si>
  <si>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</si>
  <si>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</si>
  <si>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</si>
  <si>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</si>
  <si>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</si>
  <si>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</si>
  <si>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</si>
  <si>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</si>
  <si>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</si>
  <si>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</si>
  <si>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</si>
  <si>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</si>
  <si>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</si>
  <si>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</si>
  <si>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</si>
  <si>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</si>
  <si>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</si>
  <si>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</si>
  <si>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</si>
  <si>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</si>
  <si>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</si>
  <si>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</si>
  <si>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</si>
  <si>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</si>
  <si>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</si>
  <si>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</si>
  <si>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</si>
  <si>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</si>
  <si>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</si>
  <si>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</si>
  <si>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</si>
  <si>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</si>
  <si>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</si>
  <si>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</si>
  <si>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</si>
  <si>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</si>
  <si>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</si>
  <si>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</si>
  <si>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</si>
  <si>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</si>
  <si>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</si>
  <si>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</si>
  <si>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</si>
  <si>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</si>
  <si>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</si>
  <si>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</si>
  <si>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</si>
  <si>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</si>
  <si>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</si>
  <si>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</si>
  <si>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</si>
  <si>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</si>
  <si>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</si>
  <si>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</si>
  <si>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</si>
  <si>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</si>
  <si>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</si>
  <si>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</si>
  <si>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</si>
  <si>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</si>
  <si>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</si>
  <si>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</si>
  <si>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</si>
  <si>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</si>
  <si>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</si>
  <si>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</si>
  <si>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</si>
  <si>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</si>
  <si>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</si>
  <si>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</si>
  <si>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</si>
  <si>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</si>
  <si>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</si>
  <si>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</si>
  <si>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</si>
  <si>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</si>
  <si>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</si>
  <si>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</si>
  <si>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</si>
  <si>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</si>
  <si>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</si>
  <si>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</si>
  <si>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</si>
  <si>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</si>
  <si>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</si>
  <si>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</si>
  <si>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</si>
  <si>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</si>
  <si>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</si>
  <si>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</si>
  <si>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</si>
  <si>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</si>
  <si>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</si>
  <si>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</si>
  <si>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</si>
  <si>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</si>
  <si>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</si>
  <si>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</si>
  <si>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</si>
  <si>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</si>
  <si>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</si>
  <si>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</si>
  <si>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</si>
  <si>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</si>
  <si>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</si>
  <si>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</si>
  <si>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</si>
  <si>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</si>
  <si>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</si>
  <si>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</si>
  <si>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</si>
  <si>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</si>
  <si>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</si>
  <si>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</si>
  <si>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</si>
  <si>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</si>
  <si>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</si>
  <si>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</si>
  <si>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</si>
  <si>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</si>
  <si>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</si>
  <si>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</si>
  <si>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</si>
  <si>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</si>
  <si>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</si>
  <si>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</si>
  <si>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</si>
  <si>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</si>
  <si>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</si>
  <si>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</si>
  <si>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</si>
  <si>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</si>
  <si>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</si>
  <si>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</si>
  <si>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</si>
  <si>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</si>
  <si>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</si>
  <si>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</si>
  <si>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</si>
  <si>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</si>
  <si>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</si>
  <si>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</si>
  <si>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</si>
  <si>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</si>
  <si>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</si>
  <si>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</si>
  <si>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</si>
  <si>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</si>
  <si>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</si>
  <si>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</si>
  <si>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</si>
  <si>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</si>
  <si>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</si>
  <si>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</si>
  <si>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</si>
  <si>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</si>
  <si>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</si>
  <si>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</si>
  <si>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</si>
  <si>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</si>
  <si>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</si>
  <si>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</si>
  <si>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</si>
  <si>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</si>
  <si>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</si>
  <si>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</si>
  <si>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</si>
  <si>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</si>
  <si>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</si>
  <si>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</si>
  <si>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</si>
  <si>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</si>
  <si>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</si>
  <si>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</si>
  <si>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</si>
  <si>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</si>
  <si>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</si>
  <si>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</si>
  <si>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</si>
  <si>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</si>
  <si>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</si>
  <si>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</si>
  <si>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</si>
  <si>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</si>
  <si>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</si>
  <si>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</si>
  <si>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</si>
  <si>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</si>
  <si>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</si>
  <si>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</si>
  <si>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</si>
  <si>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</si>
  <si>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</si>
  <si>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</si>
  <si>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</si>
  <si>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</si>
  <si>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</si>
  <si>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</si>
  <si>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</si>
  <si>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</si>
  <si>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</si>
  <si>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</si>
  <si>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</si>
  <si>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</si>
  <si>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</si>
  <si>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</si>
  <si>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</si>
  <si>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</si>
  <si>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</si>
  <si>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</si>
  <si>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</si>
  <si>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</si>
  <si>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</si>
  <si>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</si>
  <si>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</si>
  <si>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</si>
  <si>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</si>
  <si>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</si>
  <si>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</si>
  <si>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</si>
  <si>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</si>
  <si>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</si>
  <si>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</si>
  <si>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</si>
  <si>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</si>
  <si>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</si>
  <si>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</si>
  <si>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</si>
  <si>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</si>
  <si>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</si>
  <si>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</si>
  <si>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</si>
  <si>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</si>
  <si>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</si>
  <si>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</si>
  <si>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</si>
  <si>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</si>
  <si>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</si>
  <si>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</si>
  <si>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</si>
  <si>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</si>
  <si>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</si>
  <si>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</si>
  <si>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</si>
  <si>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</si>
  <si>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</si>
  <si>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</si>
  <si>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</si>
  <si>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</si>
  <si>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</si>
  <si>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</si>
  <si>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</si>
  <si>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</si>
  <si>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</si>
  <si>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</si>
  <si>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</si>
  <si>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</si>
  <si>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</si>
  <si>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</si>
  <si>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</si>
  <si>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</si>
  <si>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</si>
  <si>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</si>
  <si>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</si>
  <si>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</si>
  <si>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</si>
  <si>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</si>
  <si>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</si>
  <si>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</si>
  <si>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</si>
  <si>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</si>
  <si>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</si>
  <si>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</si>
  <si>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</si>
  <si>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</si>
  <si>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</si>
  <si>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</si>
  <si>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</si>
  <si>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</si>
  <si>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</si>
  <si>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</si>
  <si>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</si>
  <si>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</si>
  <si>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</si>
  <si>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</si>
  <si>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</si>
  <si>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</si>
  <si>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</si>
  <si>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</si>
  <si>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</si>
  <si>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</si>
  <si>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</si>
  <si>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</si>
  <si>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</si>
  <si>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</si>
  <si>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</si>
  <si>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</si>
  <si>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</si>
  <si>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</si>
  <si>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</si>
  <si>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</si>
  <si>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</si>
  <si>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</si>
  <si>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</si>
  <si>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</si>
  <si>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</si>
  <si>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</si>
  <si>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</si>
  <si>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</si>
  <si>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</si>
  <si>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</si>
  <si>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</si>
  <si>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</si>
  <si>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</si>
  <si>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</si>
  <si>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>Donatas Grigalis</t>
  </si>
  <si>
    <t>Raimonda Eidėnienė</t>
  </si>
  <si>
    <t>Šilaės rajono savivaldybė</t>
  </si>
  <si>
    <t>Donatas Grigalis direktorius</t>
  </si>
  <si>
    <t>Tel. 867994774, el.past. info@gedmina.lt</t>
  </si>
  <si>
    <t>Donatas Grigalis Direktorius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</si>
</sst>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79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center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7" borderId="54" xfId="0" applyFont="1" applyFill="1" applyBorder="1" applyAlignment="1">
      <alignment horizontal="left" wrapText="1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9" fillId="10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/>
    </xf>
    <xf numFmtId="0" fontId="7" fillId="4" borderId="119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7" fillId="4" borderId="6" xfId="0" applyFont="1" applyFill="1" applyBorder="1" applyProtection="1"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tabSelected="1" zoomScaleNormal="100" zoomScaleSheetLayoutView="85" zoomScalePageLayoutView="60" workbookViewId="0">
      <selection activeCell="C123" sqref="C123:E123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27" t="s">
        <v>541</v>
      </c>
      <c r="E2" s="428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29"/>
      <c r="E3" s="430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29"/>
      <c r="E4" s="430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40" t="s">
        <v>5</v>
      </c>
      <c r="C6" s="441"/>
      <c r="D6" s="441"/>
      <c r="E6" s="442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43" t="s">
        <v>279</v>
      </c>
      <c r="D8" s="443"/>
      <c r="E8" s="444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31" t="str">
        <f>IFERROR(VLOOKUP(C8,$R$1:$T$236,3,FALSE),"")</f>
        <v>Uždaroji akcinė bendrovė (UAB)</v>
      </c>
      <c r="D9" s="431"/>
      <c r="E9" s="432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31">
        <f>IFERROR(VLOOKUP(C8,$R$2:$S$236,2,FALSE),"")</f>
        <v>176633027</v>
      </c>
      <c r="D10" s="431"/>
      <c r="E10" s="432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45" t="str">
        <f>IFERROR(VLOOKUP(C8,$R$2:$U$236,4,FALSE),"")</f>
        <v>Kita</v>
      </c>
      <c r="D11" s="445"/>
      <c r="E11" s="446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33" t="s">
        <v>542</v>
      </c>
      <c r="D12" s="433"/>
      <c r="E12" s="434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35" t="s">
        <v>543</v>
      </c>
      <c r="D13" s="435"/>
      <c r="E13" s="436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37" t="s">
        <v>36</v>
      </c>
      <c r="D15" s="438"/>
      <c r="E15" s="439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49" t="s">
        <v>343</v>
      </c>
      <c r="D16" s="449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50"/>
      <c r="D17" s="451"/>
      <c r="E17" s="152"/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50"/>
      <c r="D18" s="451"/>
      <c r="E18" s="152"/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68"/>
      <c r="D19" s="469"/>
      <c r="E19" s="152"/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68"/>
      <c r="D20" s="469"/>
      <c r="E20" s="152"/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68"/>
      <c r="D21" s="469"/>
      <c r="E21" s="152"/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70" t="s">
        <v>68</v>
      </c>
      <c r="D22" s="471"/>
      <c r="E22" s="153">
        <f>100%-SUM(E17:E21)</f>
        <v>1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72">
        <v>1</v>
      </c>
      <c r="D24" s="472"/>
      <c r="E24" s="473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66" t="s">
        <v>544</v>
      </c>
      <c r="D25" s="466"/>
      <c r="E25" s="467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25" t="s">
        <v>208</v>
      </c>
      <c r="D27" s="425"/>
      <c r="E27" s="426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47"/>
      <c r="D28" s="447"/>
      <c r="E28" s="448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21" t="s">
        <v>79</v>
      </c>
      <c r="D30" s="421"/>
      <c r="E30" s="422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23" t="s">
        <v>81</v>
      </c>
      <c r="D31" s="423"/>
      <c r="E31" s="424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56" t="s">
        <v>83</v>
      </c>
      <c r="D32" s="456"/>
      <c r="E32" s="457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58" t="s">
        <v>85</v>
      </c>
      <c r="D33" s="458"/>
      <c r="E33" s="459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260.7</v>
      </c>
      <c r="D35" s="34"/>
      <c r="E35" s="163">
        <v>256.39999999999998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213.4</v>
      </c>
      <c r="D36" s="34"/>
      <c r="E36" s="164">
        <v>228.6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47.299999999999983</v>
      </c>
      <c r="D37" s="34"/>
      <c r="E37" s="166">
        <f>+E35-E36</f>
        <v>27.799999999999983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>
        <v>0.1</v>
      </c>
      <c r="D38" s="48"/>
      <c r="E38" s="382">
        <v>0.9</v>
      </c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>
        <v>40.299999999999997</v>
      </c>
      <c r="D39" s="48"/>
      <c r="E39" s="167">
        <v>47.3</v>
      </c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6.8999999999999844</v>
      </c>
      <c r="D40" s="34"/>
      <c r="E40" s="166">
        <f>+E37-E38-E39</f>
        <v>-20.400000000000013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/>
      <c r="D42" s="48"/>
      <c r="E42" s="169"/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0</v>
      </c>
      <c r="D43" s="34"/>
      <c r="E43" s="170">
        <f>E44-E45</f>
        <v>0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/>
      <c r="D44" s="48"/>
      <c r="E44" s="172"/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/>
      <c r="D45" s="48"/>
      <c r="E45" s="173"/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6.8999999999999844</v>
      </c>
      <c r="D46" s="34"/>
      <c r="E46" s="166">
        <f>+E40+E41+E42+E43</f>
        <v>-20.400000000000013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>
        <v>1.1000000000000001</v>
      </c>
      <c r="D47" s="49"/>
      <c r="E47" s="174"/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5.7999999999999847</v>
      </c>
      <c r="D48" s="34"/>
      <c r="E48" s="166">
        <f>E46-E47</f>
        <v>-20.400000000000013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21" t="s">
        <v>79</v>
      </c>
      <c r="D50" s="421"/>
      <c r="E50" s="422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/>
      <c r="D52" s="38"/>
      <c r="E52" s="172"/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164.7</v>
      </c>
      <c r="D53" s="48"/>
      <c r="E53" s="178">
        <v>171.7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/>
      <c r="D54" s="48"/>
      <c r="E54" s="178"/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/>
      <c r="D55" s="48"/>
      <c r="E55" s="178"/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164.7</v>
      </c>
      <c r="D56" s="34"/>
      <c r="E56" s="180">
        <f>SUM(E52:E55)</f>
        <v>171.7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21</v>
      </c>
      <c r="D58" s="48"/>
      <c r="E58" s="172">
        <v>22.3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4.4000000000000004</v>
      </c>
      <c r="D59" s="48"/>
      <c r="E59" s="178">
        <v>1.9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/>
      <c r="D60" s="48"/>
      <c r="E60" s="178"/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/>
      <c r="D61" s="48"/>
      <c r="E61" s="178"/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>
        <v>80.5</v>
      </c>
      <c r="D62" s="48"/>
      <c r="E62" s="173">
        <v>58.7</v>
      </c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105.9</v>
      </c>
      <c r="D63" s="34"/>
      <c r="E63" s="46">
        <f>SUM(E58:E59,E61:E62)</f>
        <v>82.9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>
        <v>0.5</v>
      </c>
      <c r="D65" s="49"/>
      <c r="E65" s="185">
        <v>1.3</v>
      </c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/>
      <c r="D67" s="48"/>
      <c r="E67" s="178"/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271.10000000000002</v>
      </c>
      <c r="D69" s="34"/>
      <c r="E69" s="180">
        <f>SUM(E56,E63,E65,E67)</f>
        <v>255.9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217.2</v>
      </c>
      <c r="D71" s="48"/>
      <c r="E71" s="178">
        <v>217.2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217.2</v>
      </c>
      <c r="D72" s="48"/>
      <c r="E72" s="178">
        <v>217.2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/>
      <c r="D73" s="48"/>
      <c r="E73" s="178"/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/>
      <c r="D74" s="48"/>
      <c r="E74" s="178"/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/>
      <c r="D75" s="48"/>
      <c r="E75" s="178"/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/>
      <c r="D76" s="48"/>
      <c r="E76" s="178"/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/>
      <c r="D77" s="48"/>
      <c r="E77" s="178"/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/>
      <c r="D78" s="48"/>
      <c r="E78" s="178"/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19.100000000000001</v>
      </c>
      <c r="D79" s="48"/>
      <c r="E79" s="178">
        <v>-1.2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236.29999999999998</v>
      </c>
      <c r="D80" s="34"/>
      <c r="E80" s="180">
        <f>SUM(E71,E73:E77,E79:E79)</f>
        <v>216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/>
      <c r="D82" s="58"/>
      <c r="E82" s="190">
        <v>6.7</v>
      </c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/>
      <c r="D84" s="49"/>
      <c r="E84" s="174"/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/>
      <c r="D86" s="48"/>
      <c r="E86" s="178"/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/>
      <c r="D87" s="48"/>
      <c r="E87" s="178"/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/>
      <c r="D88" s="48"/>
      <c r="E88" s="178"/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34.799999999999997</v>
      </c>
      <c r="D89" s="48"/>
      <c r="E89" s="178">
        <v>33.200000000000003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>
        <v>16.7</v>
      </c>
      <c r="D90" s="48"/>
      <c r="E90" s="178">
        <v>15.9</v>
      </c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/>
      <c r="D91" s="48"/>
      <c r="E91" s="178"/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/>
      <c r="D92" s="48"/>
      <c r="E92" s="178"/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34.799999999999997</v>
      </c>
      <c r="D93" s="34"/>
      <c r="E93" s="180">
        <f>SUM(E86,E89)</f>
        <v>33.200000000000003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/>
      <c r="D95" s="49"/>
      <c r="E95" s="185"/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/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271.09999999999997</v>
      </c>
      <c r="D99" s="34"/>
      <c r="E99" s="180">
        <f>SUM(E80,E82,E84,E93,E95,E97)</f>
        <v>255.89999999999998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21" t="s">
        <v>79</v>
      </c>
      <c r="D105" s="421"/>
      <c r="E105" s="422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10.6</v>
      </c>
      <c r="D107" s="49"/>
      <c r="E107" s="244">
        <v>11.1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>
        <v>3.6</v>
      </c>
      <c r="D108" s="34"/>
      <c r="E108" s="288">
        <v>12.3</v>
      </c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/>
      <c r="D109" s="34"/>
      <c r="E109" s="11"/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/>
      <c r="D110" s="48"/>
      <c r="E110" s="178"/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9</v>
      </c>
      <c r="D113" s="134"/>
      <c r="E113" s="200">
        <v>9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>
        <v>2</v>
      </c>
      <c r="D114" s="48"/>
      <c r="E114" s="178">
        <v>2</v>
      </c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125.5</v>
      </c>
      <c r="D115" s="34"/>
      <c r="E115" s="190">
        <v>144.6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54"/>
      <c r="D118" s="454"/>
      <c r="E118" s="455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60">
        <v>45397</v>
      </c>
      <c r="D123" s="460"/>
      <c r="E123" s="461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62" t="s">
        <v>545</v>
      </c>
      <c r="D124" s="462"/>
      <c r="E124" s="463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64" t="s">
        <v>546</v>
      </c>
      <c r="D125" s="464"/>
      <c r="E125" s="465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52"/>
      <c r="D126" s="452"/>
      <c r="E126" s="453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25:E25"/>
    <mergeCell ref="C19:D19"/>
    <mergeCell ref="C20:D20"/>
    <mergeCell ref="C21:D21"/>
    <mergeCell ref="C22:D22"/>
    <mergeCell ref="C24:E24"/>
    <mergeCell ref="C126:E126"/>
    <mergeCell ref="C118:E118"/>
    <mergeCell ref="C32:E32"/>
    <mergeCell ref="C33:E33"/>
    <mergeCell ref="C123:E123"/>
    <mergeCell ref="C50:E50"/>
    <mergeCell ref="C105:E105"/>
    <mergeCell ref="C124:E124"/>
    <mergeCell ref="C125:E125"/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639" yWindow="543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6"/>
      <c r="E2" s="476"/>
      <c r="F2" s="117"/>
      <c r="G2" s="117"/>
    </row>
    <row r="3" spans="1:7" ht="29.25" customHeight="1" x14ac:dyDescent="0.2">
      <c r="A3" s="117"/>
      <c r="B3" s="64"/>
      <c r="C3" s="64"/>
      <c r="D3" s="477" t="s">
        <v>338</v>
      </c>
      <c r="E3" s="477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41" t="s">
        <v>340</v>
      </c>
      <c r="C6" s="441"/>
      <c r="D6" s="441"/>
      <c r="E6" s="441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75" t="str">
        <f>'Finansiniai duomenys'!C8</f>
        <v>UAB „Gedmina“</v>
      </c>
      <c r="D9" s="475"/>
      <c r="E9" s="475"/>
      <c r="F9" s="117"/>
      <c r="G9" s="117"/>
    </row>
    <row r="10" spans="1:7" x14ac:dyDescent="0.2">
      <c r="A10" s="117"/>
      <c r="B10" s="85" t="s">
        <v>9</v>
      </c>
      <c r="C10" s="431" t="str">
        <f>'Finansiniai duomenys'!C9</f>
        <v>Uždaroji akcinė bendrovė (UAB)</v>
      </c>
      <c r="D10" s="431"/>
      <c r="E10" s="431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31" t="e">
        <f>'Finansiniai duomenys'!#REF!</f>
        <v>#REF!</v>
      </c>
      <c r="D14" s="431"/>
      <c r="E14" s="431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31">
        <f>'Finansiniai duomenys'!C10</f>
        <v>176633027</v>
      </c>
      <c r="D27" s="431"/>
      <c r="E27" s="431"/>
      <c r="F27" s="117"/>
      <c r="G27" s="117"/>
    </row>
    <row r="28" spans="1:9" x14ac:dyDescent="0.2">
      <c r="A28" s="117"/>
      <c r="B28" s="35" t="s">
        <v>16</v>
      </c>
      <c r="C28" s="431" t="e">
        <f>'Finansiniai duomenys'!#REF!</f>
        <v>#REF!</v>
      </c>
      <c r="D28" s="431"/>
      <c r="E28" s="431"/>
      <c r="F28" s="117"/>
      <c r="G28" s="117"/>
    </row>
    <row r="29" spans="1:9" x14ac:dyDescent="0.2">
      <c r="A29" s="117"/>
      <c r="B29" s="35" t="s">
        <v>20</v>
      </c>
      <c r="C29" s="431" t="e">
        <f>'Finansiniai duomenys'!#REF!</f>
        <v>#REF!</v>
      </c>
      <c r="D29" s="431"/>
      <c r="E29" s="431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31" t="e">
        <f>'Finansiniai duomenys'!#REF!</f>
        <v>#REF!</v>
      </c>
      <c r="D30" s="431"/>
      <c r="E30" s="431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31" t="str">
        <f>'Finansiniai duomenys'!C12</f>
        <v>Donatas Grigalis</v>
      </c>
      <c r="D31" s="431"/>
      <c r="E31" s="431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74" t="str">
        <f>'Finansiniai duomenys'!C13</f>
        <v>Raimonda Eidėnienė</v>
      </c>
      <c r="D32" s="474"/>
      <c r="E32" s="474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37" t="s">
        <v>36</v>
      </c>
      <c r="D34" s="438"/>
      <c r="E34" s="438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49" t="s">
        <v>343</v>
      </c>
      <c r="D35" s="449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8">
        <f>'Finansiniai duomenys'!C17</f>
        <v>0</v>
      </c>
      <c r="D36" s="479"/>
      <c r="E36" s="118">
        <f>'Finansiniai duomenys'!E17</f>
        <v>0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8">
        <f>'Finansiniai duomenys'!C18</f>
        <v>0</v>
      </c>
      <c r="D37" s="479"/>
      <c r="E37" s="118">
        <f>'Finansiniai duomenys'!E18</f>
        <v>0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8" t="e">
        <f>'Finansiniai duomenys'!#REF!</f>
        <v>#REF!</v>
      </c>
      <c r="D38" s="479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8" t="e">
        <f>'Finansiniai duomenys'!#REF!</f>
        <v>#REF!</v>
      </c>
      <c r="D39" s="479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8" t="e">
        <f>'Finansiniai duomenys'!#REF!</f>
        <v>#REF!</v>
      </c>
      <c r="D40" s="479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70" t="s">
        <v>68</v>
      </c>
      <c r="D41" s="471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80">
        <f>'Finansiniai duomenys'!C24</f>
        <v>1</v>
      </c>
      <c r="D43" s="480"/>
      <c r="E43" s="480"/>
      <c r="F43" s="117"/>
      <c r="G43" s="117"/>
    </row>
    <row r="44" spans="1:9" ht="24" x14ac:dyDescent="0.2">
      <c r="A44" s="117"/>
      <c r="B44" s="87" t="s">
        <v>344</v>
      </c>
      <c r="C44" s="481" t="str">
        <f>'Finansiniai duomenys'!C25</f>
        <v>Šilaės rajono savivaldybė</v>
      </c>
      <c r="D44" s="481"/>
      <c r="E44" s="481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2" t="e">
        <f>'Finansiniai duomenys'!#REF!</f>
        <v>#REF!</v>
      </c>
      <c r="D46" s="482"/>
      <c r="E46" s="482"/>
      <c r="F46" s="117"/>
      <c r="G46" s="117"/>
    </row>
    <row r="47" spans="1:9" ht="41.25" customHeight="1" x14ac:dyDescent="0.2">
      <c r="A47" s="117"/>
      <c r="B47" s="88" t="s">
        <v>76</v>
      </c>
      <c r="C47" s="483" t="e">
        <f>'Finansiniai duomenys'!#REF!</f>
        <v>#REF!</v>
      </c>
      <c r="D47" s="483"/>
      <c r="E47" s="483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21" t="s">
        <v>79</v>
      </c>
      <c r="D49" s="421"/>
      <c r="E49" s="421"/>
      <c r="F49" s="117"/>
      <c r="G49" s="117"/>
      <c r="H49" s="36"/>
    </row>
    <row r="50" spans="1:12" s="36" customFormat="1" ht="12" customHeight="1" x14ac:dyDescent="0.2">
      <c r="A50" s="123"/>
      <c r="B50" s="135"/>
      <c r="C50" s="423"/>
      <c r="D50" s="423"/>
      <c r="E50" s="423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56" t="s">
        <v>83</v>
      </c>
      <c r="D51" s="456"/>
      <c r="E51" s="456"/>
      <c r="F51" s="117"/>
      <c r="G51" s="117"/>
    </row>
    <row r="52" spans="1:12" x14ac:dyDescent="0.2">
      <c r="A52" s="117"/>
      <c r="B52" s="34"/>
      <c r="C52" s="458" t="s">
        <v>85</v>
      </c>
      <c r="D52" s="458"/>
      <c r="E52" s="458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54"/>
      <c r="D139" s="454"/>
      <c r="E139" s="454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60"/>
      <c r="D144" s="460"/>
      <c r="E144" s="460"/>
      <c r="F144" s="117"/>
      <c r="G144" s="117"/>
    </row>
    <row r="145" spans="1:7" x14ac:dyDescent="0.2">
      <c r="A145" s="117"/>
      <c r="B145" s="34" t="s">
        <v>236</v>
      </c>
      <c r="C145" s="462"/>
      <c r="D145" s="462"/>
      <c r="E145" s="462"/>
      <c r="F145" s="117"/>
      <c r="G145" s="117"/>
    </row>
    <row r="146" spans="1:7" ht="24" x14ac:dyDescent="0.2">
      <c r="A146" s="117"/>
      <c r="B146" s="115" t="s">
        <v>238</v>
      </c>
      <c r="C146" s="484"/>
      <c r="D146" s="484"/>
      <c r="E146" s="484"/>
      <c r="F146" s="117"/>
      <c r="G146" s="117"/>
    </row>
    <row r="147" spans="1:7" ht="30" customHeight="1" x14ac:dyDescent="0.2">
      <c r="A147" s="117"/>
      <c r="B147" s="116" t="s">
        <v>360</v>
      </c>
      <c r="C147" s="452"/>
      <c r="D147" s="452"/>
      <c r="E147" s="452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145:E145"/>
    <mergeCell ref="C146:E146"/>
    <mergeCell ref="C147:E147"/>
    <mergeCell ref="C50:E50"/>
    <mergeCell ref="C51:E51"/>
    <mergeCell ref="C52:E52"/>
    <mergeCell ref="C139:E139"/>
    <mergeCell ref="C144:E144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71"/>
  <sheetViews>
    <sheetView showGridLines="0" topLeftCell="C1" zoomScaleNormal="100" workbookViewId="0">
      <selection activeCell="G60" sqref="G60:I60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91" t="s">
        <v>433</v>
      </c>
      <c r="E2" s="492"/>
      <c r="F2" s="492"/>
      <c r="G2" s="492"/>
      <c r="H2" s="501" t="s">
        <v>361</v>
      </c>
      <c r="I2" s="501"/>
      <c r="J2" s="502"/>
      <c r="K2" s="12"/>
    </row>
    <row r="3" spans="1:13" ht="51" customHeight="1" x14ac:dyDescent="0.25">
      <c r="A3" s="12"/>
      <c r="B3" s="313"/>
      <c r="D3" s="490" t="s">
        <v>540</v>
      </c>
      <c r="E3" s="490"/>
      <c r="F3" s="490"/>
      <c r="H3" s="373" t="s">
        <v>339</v>
      </c>
      <c r="J3" s="314"/>
      <c r="K3" s="12"/>
    </row>
    <row r="4" spans="1:13" s="12" customFormat="1" x14ac:dyDescent="0.25">
      <c r="B4" s="485" t="s">
        <v>7</v>
      </c>
      <c r="C4" s="486"/>
      <c r="D4" s="489" t="str">
        <f>'Finansiniai duomenys'!C8</f>
        <v>UAB „Gedmina“</v>
      </c>
      <c r="E4" s="489"/>
      <c r="F4" s="489"/>
      <c r="G4" s="489"/>
      <c r="H4" s="487"/>
      <c r="I4" s="487"/>
      <c r="J4" s="488"/>
      <c r="L4"/>
    </row>
    <row r="5" spans="1:13" s="12" customFormat="1" x14ac:dyDescent="0.25">
      <c r="B5" s="485" t="s">
        <v>9</v>
      </c>
      <c r="C5" s="486"/>
      <c r="D5" s="487" t="str">
        <f>IFERROR(VLOOKUP(D4,'Finansiniai duomenys'!R2:T229,3,FALSE),"")</f>
        <v>Uždaroji akcinė bendrovė (UAB)</v>
      </c>
      <c r="E5" s="487"/>
      <c r="F5" s="487"/>
      <c r="G5" s="487"/>
      <c r="H5" s="487"/>
      <c r="I5" s="487"/>
      <c r="J5" s="488"/>
      <c r="L5"/>
    </row>
    <row r="6" spans="1:13" s="12" customFormat="1" x14ac:dyDescent="0.25">
      <c r="B6" s="485" t="s">
        <v>13</v>
      </c>
      <c r="C6" s="486"/>
      <c r="D6" s="487">
        <f>IFERROR(VLOOKUP(D4,'Finansiniai duomenys'!R2:T229,2,FALSE),"")</f>
        <v>176633027</v>
      </c>
      <c r="E6" s="487"/>
      <c r="F6" s="487"/>
      <c r="G6" s="487"/>
      <c r="H6" s="487"/>
      <c r="I6" s="487"/>
      <c r="J6" s="488"/>
      <c r="L6"/>
    </row>
    <row r="7" spans="1:13" x14ac:dyDescent="0.25">
      <c r="A7" s="12"/>
      <c r="B7" s="485" t="s">
        <v>20</v>
      </c>
      <c r="C7" s="486"/>
      <c r="D7" s="487" t="str">
        <f>IFERROR(VLOOKUP(D4,'Finansiniai duomenys'!R2:U229,4,FALSE),"")</f>
        <v>Kita</v>
      </c>
      <c r="E7" s="487"/>
      <c r="F7" s="487"/>
      <c r="G7" s="487"/>
      <c r="H7" s="487"/>
      <c r="I7" s="487"/>
      <c r="J7" s="488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>
        <v>1</v>
      </c>
      <c r="H12" s="395"/>
      <c r="I12" s="396">
        <v>1</v>
      </c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/>
      <c r="I13" s="404"/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>
        <v>1</v>
      </c>
      <c r="H14" s="399"/>
      <c r="I14" s="307">
        <v>1</v>
      </c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>
        <v>9038</v>
      </c>
      <c r="I17" s="28">
        <v>9662</v>
      </c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>
        <v>9038</v>
      </c>
      <c r="I18" s="28">
        <v>9662</v>
      </c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/>
      <c r="I19" s="28"/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/>
      <c r="I20" s="28"/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/>
      <c r="I21" s="28"/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/>
      <c r="I22" s="28"/>
      <c r="J22" s="314"/>
      <c r="K22" s="12"/>
    </row>
    <row r="23" spans="1:11" x14ac:dyDescent="0.25">
      <c r="A23" s="12"/>
      <c r="B23" s="313"/>
      <c r="D23" s="313" t="s">
        <v>417</v>
      </c>
      <c r="G23" s="28"/>
      <c r="I23" s="28"/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/>
      <c r="I24" s="28"/>
      <c r="J24" s="314"/>
      <c r="K24" s="12"/>
    </row>
    <row r="25" spans="1:11" x14ac:dyDescent="0.25">
      <c r="A25" s="12"/>
      <c r="B25" s="313"/>
      <c r="D25" s="313" t="s">
        <v>430</v>
      </c>
      <c r="G25" s="28"/>
      <c r="I25" s="28"/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/>
      <c r="I26" s="28"/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Gerai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/>
      <c r="H31" s="338"/>
      <c r="I31" s="306"/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/>
      <c r="H32" s="338"/>
      <c r="I32" s="306"/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/>
      <c r="H33" s="338"/>
      <c r="I33" s="306"/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/>
      <c r="H34" s="341"/>
      <c r="I34" s="304"/>
      <c r="J34" s="342"/>
      <c r="K34" s="12"/>
    </row>
    <row r="35" spans="1:11" x14ac:dyDescent="0.25">
      <c r="A35" s="12"/>
      <c r="B35" s="313"/>
      <c r="D35" s="343" t="s">
        <v>401</v>
      </c>
      <c r="G35" s="28"/>
      <c r="I35" s="28"/>
      <c r="J35" s="344"/>
      <c r="K35" s="12"/>
    </row>
    <row r="36" spans="1:11" x14ac:dyDescent="0.25">
      <c r="A36" s="12"/>
      <c r="B36" s="313"/>
      <c r="D36" s="343" t="s">
        <v>421</v>
      </c>
      <c r="G36" s="28"/>
      <c r="I36" s="28"/>
      <c r="J36" s="344"/>
      <c r="K36" s="12"/>
    </row>
    <row r="37" spans="1:11" x14ac:dyDescent="0.25">
      <c r="A37" s="12"/>
      <c r="B37" s="313"/>
      <c r="D37" s="343" t="s">
        <v>422</v>
      </c>
      <c r="G37" s="28"/>
      <c r="I37" s="28"/>
      <c r="J37" s="344"/>
      <c r="K37" s="12"/>
    </row>
    <row r="38" spans="1:11" x14ac:dyDescent="0.25">
      <c r="A38" s="12"/>
      <c r="B38" s="313"/>
      <c r="D38" s="343" t="s">
        <v>423</v>
      </c>
      <c r="G38" s="28"/>
      <c r="I38" s="28"/>
      <c r="J38" s="344"/>
      <c r="K38" s="12"/>
    </row>
    <row r="39" spans="1:11" x14ac:dyDescent="0.25">
      <c r="A39" s="12"/>
      <c r="B39" s="313"/>
      <c r="D39" s="343" t="s">
        <v>424</v>
      </c>
      <c r="G39" s="28"/>
      <c r="I39" s="28"/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/>
      <c r="H40" s="346"/>
      <c r="I40" s="305"/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/>
      <c r="I45" s="28"/>
      <c r="J45" s="344"/>
      <c r="K45" s="12"/>
    </row>
    <row r="46" spans="1:11" x14ac:dyDescent="0.25">
      <c r="A46" s="12"/>
      <c r="B46" s="313"/>
      <c r="D46" s="343" t="s">
        <v>384</v>
      </c>
      <c r="G46" s="28"/>
      <c r="I46" s="28"/>
      <c r="J46" s="344"/>
      <c r="K46" s="12"/>
    </row>
    <row r="47" spans="1:11" x14ac:dyDescent="0.25">
      <c r="A47" s="12"/>
      <c r="B47" s="313"/>
      <c r="D47" s="343" t="s">
        <v>385</v>
      </c>
      <c r="G47" s="28"/>
      <c r="I47" s="28"/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/>
      <c r="H48" s="346"/>
      <c r="I48" s="305"/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/>
      <c r="H49" s="346"/>
      <c r="I49" s="305"/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/>
      <c r="H50" s="346"/>
      <c r="I50" s="305"/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/>
      <c r="H51" s="341"/>
      <c r="I51" s="383"/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/>
      <c r="H52" s="391"/>
      <c r="I52" s="306"/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/>
      <c r="H53" s="385"/>
      <c r="I53" s="386"/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95"/>
      <c r="H56" s="495"/>
      <c r="I56" s="496"/>
      <c r="J56" s="314"/>
      <c r="K56" s="12"/>
    </row>
    <row r="57" spans="1:11" ht="52.9" customHeight="1" x14ac:dyDescent="0.25">
      <c r="A57" s="12"/>
      <c r="B57" s="313"/>
      <c r="D57" s="313"/>
      <c r="G57" s="497"/>
      <c r="H57" s="497"/>
      <c r="I57" s="498"/>
      <c r="J57" s="314"/>
      <c r="K57" s="12"/>
    </row>
    <row r="58" spans="1:11" x14ac:dyDescent="0.25">
      <c r="A58" s="12"/>
      <c r="B58" s="313"/>
      <c r="D58" s="379" t="s">
        <v>232</v>
      </c>
      <c r="G58" s="499"/>
      <c r="H58" s="499"/>
      <c r="I58" s="500"/>
      <c r="J58" s="314"/>
      <c r="K58" s="12"/>
    </row>
    <row r="59" spans="1:11" x14ac:dyDescent="0.25">
      <c r="A59" s="12"/>
      <c r="B59" s="313"/>
      <c r="D59" s="313" t="s">
        <v>234</v>
      </c>
      <c r="G59" s="464"/>
      <c r="H59" s="464"/>
      <c r="I59" s="465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464" t="s">
        <v>547</v>
      </c>
      <c r="H60" s="464"/>
      <c r="I60" s="465"/>
      <c r="J60" s="314"/>
      <c r="K60" s="12"/>
    </row>
    <row r="61" spans="1:11" x14ac:dyDescent="0.25">
      <c r="A61" s="12"/>
      <c r="B61" s="313"/>
      <c r="D61" s="313" t="s">
        <v>238</v>
      </c>
      <c r="G61" s="464" t="s">
        <v>546</v>
      </c>
      <c r="H61" s="464"/>
      <c r="I61" s="465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93"/>
      <c r="H62" s="493"/>
      <c r="I62" s="494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D3:F3"/>
    <mergeCell ref="D2:G2"/>
    <mergeCell ref="G62:I62"/>
    <mergeCell ref="G56:I57"/>
    <mergeCell ref="G58:I58"/>
    <mergeCell ref="G59:I59"/>
    <mergeCell ref="H2:J2"/>
    <mergeCell ref="G61:I61"/>
    <mergeCell ref="G60:I60"/>
    <mergeCell ref="B7:C7"/>
    <mergeCell ref="D7:J7"/>
    <mergeCell ref="B4:C4"/>
    <mergeCell ref="D4:J4"/>
    <mergeCell ref="B5:C5"/>
    <mergeCell ref="D5:J5"/>
    <mergeCell ref="B6:C6"/>
    <mergeCell ref="D6:J6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zoomScaleNormal="100" zoomScaleSheetLayoutView="100" workbookViewId="0">
      <selection activeCell="K16" sqref="K16:L16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03" t="s">
        <v>361</v>
      </c>
      <c r="L3" s="504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09" t="s">
        <v>363</v>
      </c>
      <c r="D6" s="510"/>
      <c r="E6" s="510"/>
      <c r="F6" s="510"/>
      <c r="G6" s="510"/>
      <c r="H6" s="510"/>
      <c r="I6" s="510"/>
      <c r="J6" s="510"/>
      <c r="K6" s="510"/>
      <c r="L6" s="510"/>
      <c r="M6" s="511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05" t="s">
        <v>7</v>
      </c>
      <c r="D9" s="506"/>
      <c r="E9" s="507" t="str">
        <f>'Finansiniai duomenys'!C8</f>
        <v>UAB „Gedmina“</v>
      </c>
      <c r="F9" s="507"/>
      <c r="G9" s="507"/>
      <c r="H9" s="507"/>
      <c r="I9" s="507"/>
      <c r="J9" s="507"/>
      <c r="K9" s="13"/>
      <c r="L9" s="13"/>
      <c r="M9" s="221"/>
    </row>
    <row r="10" spans="2:15" ht="15.75" thickBot="1" x14ac:dyDescent="0.3">
      <c r="B10" s="220"/>
      <c r="C10" s="505" t="s">
        <v>9</v>
      </c>
      <c r="D10" s="506"/>
      <c r="E10" s="508" t="str">
        <f>'Finansiniai duomenys'!C9</f>
        <v>Uždaroji akcinė bendrovė (UAB)</v>
      </c>
      <c r="F10" s="508"/>
      <c r="G10" s="508"/>
      <c r="H10" s="508"/>
      <c r="I10" s="508"/>
      <c r="J10" s="508"/>
      <c r="K10" s="13"/>
      <c r="L10" s="13"/>
      <c r="M10" s="221"/>
    </row>
    <row r="11" spans="2:15" ht="15.75" thickBot="1" x14ac:dyDescent="0.3">
      <c r="B11" s="220"/>
      <c r="C11" s="505" t="s">
        <v>13</v>
      </c>
      <c r="D11" s="506"/>
      <c r="E11" s="508">
        <f>'Finansiniai duomenys'!C10</f>
        <v>176633027</v>
      </c>
      <c r="F11" s="508"/>
      <c r="G11" s="508"/>
      <c r="H11" s="508"/>
      <c r="I11" s="508"/>
      <c r="J11" s="508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34" t="s">
        <v>511</v>
      </c>
      <c r="D14" s="543"/>
      <c r="E14" s="541" t="s">
        <v>208</v>
      </c>
      <c r="F14" s="544"/>
      <c r="G14" s="248"/>
      <c r="H14" s="251"/>
      <c r="I14" s="521" t="s">
        <v>515</v>
      </c>
      <c r="J14" s="540"/>
      <c r="K14" s="541" t="s">
        <v>208</v>
      </c>
      <c r="L14" s="542"/>
      <c r="M14" s="222"/>
    </row>
    <row r="15" spans="2:15" ht="26.45" customHeight="1" thickBot="1" x14ac:dyDescent="0.3">
      <c r="B15" s="220"/>
      <c r="C15" s="534" t="s">
        <v>512</v>
      </c>
      <c r="D15" s="522"/>
      <c r="E15" s="522"/>
      <c r="F15" s="537"/>
      <c r="G15" s="138"/>
      <c r="H15" s="251"/>
      <c r="I15" s="519" t="s">
        <v>516</v>
      </c>
      <c r="J15" s="516"/>
      <c r="K15" s="516"/>
      <c r="L15" s="520"/>
      <c r="M15" s="223"/>
    </row>
    <row r="16" spans="2:15" ht="49.5" customHeight="1" thickBot="1" x14ac:dyDescent="0.3">
      <c r="B16" s="220"/>
      <c r="C16" s="534" t="s">
        <v>521</v>
      </c>
      <c r="D16" s="522"/>
      <c r="E16" s="535"/>
      <c r="F16" s="536"/>
      <c r="G16" s="139"/>
      <c r="H16" s="252"/>
      <c r="I16" s="521" t="s">
        <v>522</v>
      </c>
      <c r="J16" s="521"/>
      <c r="K16" s="538"/>
      <c r="L16" s="539"/>
      <c r="M16" s="222"/>
    </row>
    <row r="17" spans="2:13" ht="40.5" customHeight="1" x14ac:dyDescent="0.25">
      <c r="B17" s="220"/>
      <c r="C17" s="534" t="s">
        <v>365</v>
      </c>
      <c r="D17" s="522"/>
      <c r="E17" s="517"/>
      <c r="F17" s="518"/>
      <c r="G17" s="248"/>
      <c r="H17" s="252"/>
      <c r="I17" s="522" t="s">
        <v>365</v>
      </c>
      <c r="J17" s="522"/>
      <c r="K17" s="517"/>
      <c r="L17" s="518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30" t="s">
        <v>513</v>
      </c>
      <c r="D20" s="526"/>
      <c r="E20" s="526"/>
      <c r="F20" s="531"/>
      <c r="G20" s="19"/>
      <c r="H20" s="251"/>
      <c r="I20" s="526" t="s">
        <v>517</v>
      </c>
      <c r="J20" s="526"/>
      <c r="K20" s="526"/>
      <c r="L20" s="526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32" t="s">
        <v>514</v>
      </c>
      <c r="D22" s="527"/>
      <c r="E22" s="527"/>
      <c r="F22" s="533"/>
      <c r="G22" s="249"/>
      <c r="H22" s="251"/>
      <c r="I22" s="527" t="s">
        <v>518</v>
      </c>
      <c r="J22" s="527"/>
      <c r="K22" s="527"/>
      <c r="L22" s="527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/>
      <c r="K24" s="8"/>
      <c r="L24" s="256"/>
      <c r="M24" s="227"/>
    </row>
    <row r="25" spans="2:13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/>
      <c r="K25" s="8"/>
      <c r="L25" s="256"/>
      <c r="M25" s="227"/>
    </row>
    <row r="26" spans="2:13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/>
      <c r="K26" s="8"/>
      <c r="L26" s="256"/>
      <c r="M26" s="227"/>
    </row>
    <row r="27" spans="2:13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/>
      <c r="K27" s="8"/>
      <c r="L27" s="256"/>
      <c r="M27" s="227"/>
    </row>
    <row r="28" spans="2:13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/>
      <c r="K28" s="8"/>
      <c r="L28" s="256"/>
      <c r="M28" s="227"/>
    </row>
    <row r="29" spans="2:13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/>
      <c r="K29" s="8"/>
      <c r="L29" s="256"/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12" t="s">
        <v>225</v>
      </c>
      <c r="D85" s="512"/>
      <c r="E85" s="512"/>
      <c r="F85" s="512"/>
      <c r="G85" s="512"/>
      <c r="H85" s="512"/>
      <c r="I85" s="512"/>
      <c r="J85" s="512"/>
      <c r="K85" s="512"/>
      <c r="L85" s="512"/>
      <c r="M85" s="228"/>
    </row>
    <row r="86" spans="2:13" ht="66" customHeight="1" x14ac:dyDescent="0.25">
      <c r="B86" s="220"/>
      <c r="C86" s="515" t="s">
        <v>370</v>
      </c>
      <c r="D86" s="516"/>
      <c r="E86" s="516"/>
      <c r="F86" s="513"/>
      <c r="G86" s="513"/>
      <c r="H86" s="513"/>
      <c r="I86" s="513"/>
      <c r="J86" s="513"/>
      <c r="K86" s="513"/>
      <c r="L86" s="513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28" t="s">
        <v>232</v>
      </c>
      <c r="D88" s="529"/>
      <c r="E88" s="529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15" t="s">
        <v>234</v>
      </c>
      <c r="D89" s="516"/>
      <c r="E89" s="516"/>
      <c r="F89" s="514"/>
      <c r="G89" s="514"/>
      <c r="H89" s="514"/>
      <c r="I89" s="514"/>
      <c r="J89" s="514"/>
      <c r="K89" s="514"/>
      <c r="L89" s="514"/>
      <c r="M89" s="229"/>
    </row>
    <row r="90" spans="2:13" ht="15.75" customHeight="1" x14ac:dyDescent="0.25">
      <c r="B90" s="220"/>
      <c r="C90" s="515" t="s">
        <v>236</v>
      </c>
      <c r="D90" s="516"/>
      <c r="E90" s="516"/>
      <c r="F90" s="514"/>
      <c r="G90" s="514"/>
      <c r="H90" s="514"/>
      <c r="I90" s="514"/>
      <c r="J90" s="514"/>
      <c r="K90" s="514"/>
      <c r="L90" s="514"/>
      <c r="M90" s="229"/>
    </row>
    <row r="91" spans="2:13" ht="15.75" customHeight="1" x14ac:dyDescent="0.25">
      <c r="B91" s="220"/>
      <c r="C91" s="515" t="s">
        <v>238</v>
      </c>
      <c r="D91" s="516"/>
      <c r="E91" s="516"/>
      <c r="F91" s="514"/>
      <c r="G91" s="514"/>
      <c r="H91" s="514"/>
      <c r="I91" s="514"/>
      <c r="J91" s="514"/>
      <c r="K91" s="514"/>
      <c r="L91" s="514"/>
      <c r="M91" s="229"/>
    </row>
    <row r="92" spans="2:13" ht="21" customHeight="1" x14ac:dyDescent="0.25">
      <c r="B92" s="220"/>
      <c r="C92" s="523" t="s">
        <v>240</v>
      </c>
      <c r="D92" s="521"/>
      <c r="E92" s="521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4"/>
      <c r="D93" s="525"/>
      <c r="E93" s="525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16:L16"/>
    <mergeCell ref="I14:J14"/>
    <mergeCell ref="K14:L14"/>
    <mergeCell ref="C14:D14"/>
    <mergeCell ref="E14:F14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C85:L85"/>
    <mergeCell ref="F86:L86"/>
    <mergeCell ref="F89:L89"/>
    <mergeCell ref="F90:L90"/>
    <mergeCell ref="F91:L91"/>
    <mergeCell ref="C89:E89"/>
    <mergeCell ref="C90:E90"/>
    <mergeCell ref="C91:E91"/>
    <mergeCell ref="K3:L3"/>
    <mergeCell ref="C9:D9"/>
    <mergeCell ref="C10:D10"/>
    <mergeCell ref="C11:D11"/>
    <mergeCell ref="E9:J9"/>
    <mergeCell ref="E10:J10"/>
    <mergeCell ref="E11:J11"/>
    <mergeCell ref="C6:M6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topLeftCell="B1" zoomScale="80" zoomScaleNormal="80" workbookViewId="0">
      <selection activeCell="H75" sqref="H75:J75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61" t="str">
        <f>'Finansiniai duomenys'!C8</f>
        <v>UAB „Gedmina“</v>
      </c>
      <c r="I3" s="561"/>
      <c r="J3" s="561"/>
      <c r="K3" s="561"/>
      <c r="L3" s="561"/>
      <c r="N3" s="503" t="s">
        <v>361</v>
      </c>
      <c r="O3" s="503"/>
      <c r="P3" s="503"/>
      <c r="T3" s="12"/>
      <c r="U3" t="s">
        <v>208</v>
      </c>
    </row>
    <row r="4" spans="1:21" ht="13.9" customHeight="1" x14ac:dyDescent="0.25">
      <c r="A4" s="12"/>
      <c r="C4" s="545" t="s">
        <v>439</v>
      </c>
      <c r="D4" s="546"/>
      <c r="E4" s="546"/>
      <c r="F4" s="371"/>
      <c r="G4" s="350" t="s">
        <v>380</v>
      </c>
      <c r="H4" s="561" t="str">
        <f>IFERROR(VLOOKUP(H3,'Finansiniai duomenys'!R2:T229,3,FALSE),"")</f>
        <v>Uždaroji akcinė bendrovė (UAB)</v>
      </c>
      <c r="I4" s="561"/>
      <c r="J4" s="561"/>
      <c r="K4" s="561"/>
      <c r="L4" s="561"/>
      <c r="N4" s="503"/>
      <c r="O4" s="503"/>
      <c r="P4" s="503"/>
      <c r="T4" s="12"/>
    </row>
    <row r="5" spans="1:21" x14ac:dyDescent="0.25">
      <c r="A5" s="12"/>
      <c r="C5" s="545"/>
      <c r="D5" s="546"/>
      <c r="E5" s="546"/>
      <c r="F5" s="371"/>
      <c r="G5" s="351" t="s">
        <v>13</v>
      </c>
      <c r="H5" s="562">
        <f>IFERROR(VLOOKUP(H3,'Finansiniai duomenys'!R2:T229,2,FALSE),"")</f>
        <v>176633027</v>
      </c>
      <c r="I5" s="562"/>
      <c r="J5" s="562"/>
      <c r="K5" s="562"/>
      <c r="L5" s="562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47" t="s">
        <v>507</v>
      </c>
      <c r="D7" s="548"/>
      <c r="E7" s="548"/>
      <c r="F7" s="123"/>
      <c r="G7" s="563" t="s">
        <v>426</v>
      </c>
      <c r="H7" s="563"/>
      <c r="I7" s="563"/>
      <c r="J7" s="563"/>
      <c r="K7" s="563"/>
      <c r="L7" s="291" t="s">
        <v>208</v>
      </c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48"/>
      <c r="D8" s="548"/>
      <c r="E8" s="548"/>
      <c r="F8" s="123"/>
      <c r="G8" s="563" t="s">
        <v>427</v>
      </c>
      <c r="H8" s="563"/>
      <c r="I8" s="563"/>
      <c r="J8" s="563"/>
      <c r="K8" s="563"/>
      <c r="L8" s="291" t="s">
        <v>208</v>
      </c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48"/>
      <c r="D9" s="548"/>
      <c r="E9" s="548"/>
      <c r="F9" s="123"/>
      <c r="G9" s="354" t="s">
        <v>531</v>
      </c>
      <c r="H9" s="354"/>
      <c r="I9" s="354"/>
      <c r="J9" s="354"/>
      <c r="K9" s="354"/>
      <c r="L9" s="291" t="s">
        <v>208</v>
      </c>
      <c r="M9" s="562"/>
      <c r="N9" s="562"/>
      <c r="O9" s="562"/>
      <c r="P9" s="562"/>
      <c r="Q9" s="562"/>
      <c r="R9" s="123"/>
      <c r="T9" s="12"/>
      <c r="U9"/>
    </row>
    <row r="10" spans="1:21" s="292" customFormat="1" ht="46.9" customHeight="1" x14ac:dyDescent="0.25">
      <c r="A10" s="12"/>
      <c r="B10" s="83"/>
      <c r="C10" s="548"/>
      <c r="D10" s="548"/>
      <c r="E10" s="548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64" t="s">
        <v>519</v>
      </c>
      <c r="D12" s="565"/>
      <c r="E12" s="565"/>
      <c r="F12" s="565"/>
      <c r="G12" s="560" t="s">
        <v>432</v>
      </c>
      <c r="H12" s="560"/>
      <c r="I12" s="560" t="s">
        <v>432</v>
      </c>
      <c r="J12" s="560"/>
      <c r="K12" s="560" t="s">
        <v>432</v>
      </c>
      <c r="L12" s="560"/>
      <c r="M12" s="560" t="s">
        <v>432</v>
      </c>
      <c r="N12" s="560"/>
      <c r="O12" s="560" t="s">
        <v>432</v>
      </c>
      <c r="P12" s="560"/>
      <c r="Q12" s="560" t="s">
        <v>432</v>
      </c>
      <c r="R12" s="560"/>
      <c r="T12" s="12"/>
    </row>
    <row r="13" spans="1:21" ht="67.900000000000006" customHeight="1" x14ac:dyDescent="0.25">
      <c r="A13" s="12"/>
      <c r="C13" s="566" t="s">
        <v>387</v>
      </c>
      <c r="D13" s="567" t="s">
        <v>388</v>
      </c>
      <c r="E13" s="568" t="s">
        <v>437</v>
      </c>
      <c r="F13" s="567" t="s">
        <v>389</v>
      </c>
      <c r="G13" s="551"/>
      <c r="H13" s="552"/>
      <c r="I13" s="551"/>
      <c r="J13" s="552"/>
      <c r="K13" s="551"/>
      <c r="L13" s="552"/>
      <c r="M13" s="551"/>
      <c r="N13" s="552"/>
      <c r="O13" s="551"/>
      <c r="P13" s="552"/>
      <c r="Q13" s="551"/>
      <c r="R13" s="552"/>
      <c r="T13" s="12"/>
    </row>
    <row r="14" spans="1:21" ht="39" customHeight="1" x14ac:dyDescent="0.25">
      <c r="A14" s="12"/>
      <c r="C14" s="566"/>
      <c r="D14" s="567"/>
      <c r="E14" s="569"/>
      <c r="F14" s="567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260.7</v>
      </c>
      <c r="E15" s="298" t="str">
        <f>IF(OR(D15-'Finansiniai duomenys'!C35&lt;-0.1,D15-'Finansiniai duomenys'!C35&gt;0.1),"Klaida","Gerai")</f>
        <v>Gerai</v>
      </c>
      <c r="F15" s="297">
        <v>260.7</v>
      </c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213.4</v>
      </c>
      <c r="E16" s="298" t="str">
        <f>IF(OR(D16-'Finansiniai duomenys'!C36&lt;-0.1,D16-'Finansiniai duomenys'!C36&gt;0.1),"Klaida","Gerai")</f>
        <v>Gerai</v>
      </c>
      <c r="F16" s="299">
        <v>213.4</v>
      </c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47.299999999999983</v>
      </c>
      <c r="E17" s="298" t="str">
        <f>IF(OR(D17-'Finansiniai duomenys'!C37&lt;-0.1,D17-'Finansiniai duomenys'!C37&gt;0.1),"Klaida","Gerai")</f>
        <v>Gerai</v>
      </c>
      <c r="F17" s="361">
        <f>F15-F16</f>
        <v>47.299999999999983</v>
      </c>
      <c r="G17" s="361">
        <f t="shared" ref="G17:R17" si="1">G15-G16</f>
        <v>0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0.1</v>
      </c>
      <c r="E18" s="298" t="str">
        <f>IF(OR(D18-'Finansiniai duomenys'!C38&lt;-0.1,D18-'Finansiniai duomenys'!C38&gt;0.1),"Klaida","Gerai")</f>
        <v>Gerai</v>
      </c>
      <c r="F18" s="299">
        <v>0.1</v>
      </c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40.299999999999997</v>
      </c>
      <c r="E19" s="298" t="str">
        <f>IF(OR(D19-'Finansiniai duomenys'!C39&lt;-0.1,D19-'Finansiniai duomenys'!C39&gt;0.1),"Klaida","Gerai")</f>
        <v>Gerai</v>
      </c>
      <c r="F19" s="297">
        <v>40.299999999999997</v>
      </c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6.8999999999999844</v>
      </c>
      <c r="E20" s="298" t="str">
        <f>IF(OR(D20-'Finansiniai duomenys'!C40&lt;-0.1,D20-'Finansiniai duomenys'!C40&gt;0.1),"Klaida","Gerai")</f>
        <v>Gerai</v>
      </c>
      <c r="F20" s="361">
        <f>F17-F18-F19</f>
        <v>6.8999999999999844</v>
      </c>
      <c r="G20" s="361">
        <f t="shared" ref="G20:R20" si="2">G17-G18-G19</f>
        <v>0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6.9</v>
      </c>
      <c r="E22" s="298" t="str">
        <f>IF(OR(D22-'Finansiniai duomenys'!C46&lt;-0.1,D22-'Finansiniai duomenys'!C46&gt;0.1),"Klaida","Gerai")</f>
        <v>Gerai</v>
      </c>
      <c r="F22" s="299">
        <v>6.9</v>
      </c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5.8</v>
      </c>
      <c r="E23" s="298" t="str">
        <f>IF(OR(D23-'Finansiniai duomenys'!C48&lt;-0.1,D23-'Finansiniai duomenys'!C48&gt;0.1),"Klaida","Gerai")</f>
        <v>Gerai</v>
      </c>
      <c r="F23" s="362">
        <v>5.8</v>
      </c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10.6</v>
      </c>
      <c r="E24" s="298" t="str">
        <f>IF(OR(D24-'Finansiniai duomenys'!C107&lt;-0.1,D24-'Finansiniai duomenys'!C107&gt;0.1),"Klaida","Gerai")</f>
        <v>Gerai</v>
      </c>
      <c r="F24" s="297">
        <v>10.6</v>
      </c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64" t="s">
        <v>520</v>
      </c>
      <c r="D28" s="565"/>
      <c r="E28" s="565"/>
      <c r="F28" s="565"/>
      <c r="G28" s="560" t="s">
        <v>432</v>
      </c>
      <c r="H28" s="560"/>
      <c r="I28" s="560" t="s">
        <v>432</v>
      </c>
      <c r="J28" s="560"/>
      <c r="K28" s="560" t="s">
        <v>432</v>
      </c>
      <c r="L28" s="560"/>
      <c r="M28" s="560" t="s">
        <v>432</v>
      </c>
      <c r="N28" s="560"/>
      <c r="O28" s="560" t="s">
        <v>432</v>
      </c>
      <c r="P28" s="560"/>
      <c r="Q28" s="560" t="s">
        <v>432</v>
      </c>
      <c r="R28" s="560"/>
      <c r="T28" s="12"/>
    </row>
    <row r="29" spans="1:20" ht="62.45" customHeight="1" x14ac:dyDescent="0.25">
      <c r="A29" s="12"/>
      <c r="C29" s="566" t="s">
        <v>387</v>
      </c>
      <c r="D29" s="567" t="s">
        <v>388</v>
      </c>
      <c r="E29" s="568" t="s">
        <v>438</v>
      </c>
      <c r="F29" s="567" t="s">
        <v>389</v>
      </c>
      <c r="G29" s="551"/>
      <c r="H29" s="552"/>
      <c r="I29" s="551"/>
      <c r="J29" s="552"/>
      <c r="K29" s="551"/>
      <c r="L29" s="552"/>
      <c r="M29" s="551"/>
      <c r="N29" s="552"/>
      <c r="O29" s="551"/>
      <c r="P29" s="552"/>
      <c r="Q29" s="551"/>
      <c r="R29" s="552"/>
      <c r="T29" s="12"/>
    </row>
    <row r="30" spans="1:20" ht="52.15" customHeight="1" x14ac:dyDescent="0.25">
      <c r="A30" s="12"/>
      <c r="C30" s="566"/>
      <c r="D30" s="567"/>
      <c r="E30" s="569"/>
      <c r="F30" s="567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256.39999999999998</v>
      </c>
      <c r="E31" s="298" t="str">
        <f>IF(OR(D31-'Finansiniai duomenys'!E35&lt;-0.1,D31-'Finansiniai duomenys'!E35&gt;0.1),"Klaida","Gerai")</f>
        <v>Gerai</v>
      </c>
      <c r="F31" s="297">
        <v>256.39999999999998</v>
      </c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228.6</v>
      </c>
      <c r="E32" s="298" t="str">
        <f>IF(OR(D32-'Finansiniai duomenys'!E36&lt;-0.1,D32-'Finansiniai duomenys'!E36&gt;0.1),"Klaida","Gerai")</f>
        <v>Gerai</v>
      </c>
      <c r="F32" s="299">
        <v>228.6</v>
      </c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27.799999999999983</v>
      </c>
      <c r="E33" s="298" t="str">
        <f>IF(OR(D33-'Finansiniai duomenys'!E37&lt;-0.1,D33-'Finansiniai duomenys'!E37&gt;0.1),"Klaida","Gerai")</f>
        <v>Gerai</v>
      </c>
      <c r="F33" s="361">
        <f>F31-F32</f>
        <v>27.799999999999983</v>
      </c>
      <c r="G33" s="361">
        <f t="shared" ref="G33" si="3">G31-G32</f>
        <v>0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0.9</v>
      </c>
      <c r="E34" s="298" t="str">
        <f>IF(OR(D34-'Finansiniai duomenys'!E38&lt;-0.1,D34-'Finansiniai duomenys'!E38&gt;0.1),"Klaida","Gerai")</f>
        <v>Gerai</v>
      </c>
      <c r="F34" s="299">
        <v>0.9</v>
      </c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47.3</v>
      </c>
      <c r="E35" s="298" t="str">
        <f>IF(OR(D35-'Finansiniai duomenys'!E39&lt;-0.1,D35-'Finansiniai duomenys'!E39&gt;0.1),"Klaida","Gerai")</f>
        <v>Gerai</v>
      </c>
      <c r="F35" s="297">
        <v>47.3</v>
      </c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-20.400000000000013</v>
      </c>
      <c r="E36" s="298" t="str">
        <f>IF(OR(D36-'Finansiniai duomenys'!E40&lt;-0.1,D36-'Finansiniai duomenys'!E40&gt;0.1),"Klaida","Gerai")</f>
        <v>Gerai</v>
      </c>
      <c r="F36" s="361">
        <f>F33-F34-F35</f>
        <v>-20.400000000000013</v>
      </c>
      <c r="G36" s="361">
        <f t="shared" ref="G36" si="16">G33-G34-G35</f>
        <v>0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>
        <v>0</v>
      </c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-20.399999999999999</v>
      </c>
      <c r="E38" s="298" t="str">
        <f>IF(OR(D38-'Finansiniai duomenys'!E46&lt;-0.1,D38-'Finansiniai duomenys'!E46&gt;0.1),"Klaida","Gerai")</f>
        <v>Gerai</v>
      </c>
      <c r="F38" s="299">
        <v>-20.399999999999999</v>
      </c>
      <c r="G38" s="299"/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-20.399999999999999</v>
      </c>
      <c r="E39" s="298" t="str">
        <f>IF(OR(D39-'Finansiniai duomenys'!E48&lt;-0.1,D39-'Finansiniai duomenys'!E48&gt;0.1),"Klaida","Gerai")</f>
        <v>Gerai</v>
      </c>
      <c r="F39" s="362">
        <v>-20.399999999999999</v>
      </c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11.1</v>
      </c>
      <c r="E40" s="298" t="str">
        <f>IF(OR(D40-'Finansiniai duomenys'!E107&lt;-0.1,D40-'Finansiniai duomenys'!E107&gt;0.1),"Klaida","Gerai")</f>
        <v>Gerai</v>
      </c>
      <c r="F40" s="297">
        <v>11.1</v>
      </c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64" t="s">
        <v>519</v>
      </c>
      <c r="D44" s="565"/>
      <c r="E44" s="565"/>
      <c r="F44" s="565"/>
      <c r="G44" s="560" t="s">
        <v>432</v>
      </c>
      <c r="H44" s="560"/>
      <c r="I44" s="560" t="s">
        <v>432</v>
      </c>
      <c r="J44" s="560"/>
      <c r="K44" s="560" t="s">
        <v>432</v>
      </c>
      <c r="L44" s="560"/>
      <c r="M44" s="560" t="s">
        <v>432</v>
      </c>
      <c r="N44" s="560"/>
      <c r="O44" s="560" t="s">
        <v>432</v>
      </c>
      <c r="P44" s="560"/>
      <c r="Q44" s="560" t="s">
        <v>432</v>
      </c>
      <c r="R44" s="560"/>
      <c r="T44" s="12"/>
    </row>
    <row r="45" spans="1:20" ht="62.45" customHeight="1" x14ac:dyDescent="0.25">
      <c r="A45" s="12"/>
      <c r="C45" s="566" t="s">
        <v>387</v>
      </c>
      <c r="D45" s="567" t="s">
        <v>388</v>
      </c>
      <c r="E45" s="568" t="s">
        <v>437</v>
      </c>
      <c r="F45" s="567" t="s">
        <v>389</v>
      </c>
      <c r="G45" s="551"/>
      <c r="H45" s="552"/>
      <c r="I45" s="551"/>
      <c r="J45" s="552"/>
      <c r="K45" s="551"/>
      <c r="L45" s="552"/>
      <c r="M45" s="551"/>
      <c r="N45" s="552"/>
      <c r="O45" s="551"/>
      <c r="P45" s="552"/>
      <c r="Q45" s="551"/>
      <c r="R45" s="552"/>
      <c r="T45" s="12"/>
    </row>
    <row r="46" spans="1:20" ht="59.45" customHeight="1" x14ac:dyDescent="0.25">
      <c r="A46" s="12"/>
      <c r="C46" s="566"/>
      <c r="D46" s="567"/>
      <c r="E46" s="569"/>
      <c r="F46" s="567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271.10000000000002</v>
      </c>
      <c r="E47" s="298" t="str">
        <f>IF(OR(D47-'Finansiniai duomenys'!C69&lt;-0.1,D47-'Finansiniai duomenys'!C69&gt;0.1),"Klaida","Gerai")</f>
        <v>Gerai</v>
      </c>
      <c r="F47" s="297">
        <v>271.10000000000002</v>
      </c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236.3</v>
      </c>
      <c r="E48" s="298" t="str">
        <f>IF(OR(D48-'Finansiniai duomenys'!C80&lt;-0.1,D48-'Finansiniai duomenys'!C80&gt;0.1),"Klaida","Gerai")</f>
        <v>Gerai</v>
      </c>
      <c r="F48" s="299">
        <v>236.3</v>
      </c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Gerai</v>
      </c>
      <c r="F49" s="299">
        <v>0</v>
      </c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34.799999999999997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Gerai</v>
      </c>
      <c r="F50" s="299">
        <v>34.799999999999997</v>
      </c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0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Gerai</v>
      </c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271.10000000000002</v>
      </c>
      <c r="E52" s="298" t="str">
        <f>IF(OR(D52-'Finansiniai duomenys'!C99&lt;-0.1,D52-'Finansiniai duomenys'!C99&gt;0.1),"Klaida","Gerai")</f>
        <v>Gerai</v>
      </c>
      <c r="F52" s="361">
        <f>F48+F49+F50</f>
        <v>271.10000000000002</v>
      </c>
      <c r="G52" s="361">
        <f t="shared" ref="G52:R52" si="29">G48+G49+G50</f>
        <v>0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64" t="s">
        <v>520</v>
      </c>
      <c r="D56" s="565"/>
      <c r="E56" s="565"/>
      <c r="F56" s="565"/>
      <c r="G56" s="560" t="s">
        <v>432</v>
      </c>
      <c r="H56" s="560"/>
      <c r="I56" s="560" t="s">
        <v>432</v>
      </c>
      <c r="J56" s="560"/>
      <c r="K56" s="560" t="s">
        <v>432</v>
      </c>
      <c r="L56" s="560"/>
      <c r="M56" s="560" t="s">
        <v>432</v>
      </c>
      <c r="N56" s="560"/>
      <c r="O56" s="560" t="s">
        <v>432</v>
      </c>
      <c r="P56" s="560"/>
      <c r="Q56" s="560" t="s">
        <v>432</v>
      </c>
      <c r="R56" s="560"/>
      <c r="T56" s="12"/>
    </row>
    <row r="57" spans="1:20" ht="70.150000000000006" customHeight="1" x14ac:dyDescent="0.25">
      <c r="A57" s="12"/>
      <c r="C57" s="566" t="s">
        <v>387</v>
      </c>
      <c r="D57" s="567" t="s">
        <v>388</v>
      </c>
      <c r="E57" s="568" t="s">
        <v>436</v>
      </c>
      <c r="F57" s="567" t="s">
        <v>389</v>
      </c>
      <c r="G57" s="551"/>
      <c r="H57" s="552"/>
      <c r="I57" s="551"/>
      <c r="J57" s="552"/>
      <c r="K57" s="551"/>
      <c r="L57" s="552"/>
      <c r="M57" s="551"/>
      <c r="N57" s="552"/>
      <c r="O57" s="551"/>
      <c r="P57" s="552"/>
      <c r="Q57" s="551"/>
      <c r="R57" s="552"/>
      <c r="T57" s="12"/>
    </row>
    <row r="58" spans="1:20" ht="55.9" customHeight="1" x14ac:dyDescent="0.25">
      <c r="A58" s="12"/>
      <c r="C58" s="566"/>
      <c r="D58" s="567"/>
      <c r="E58" s="569"/>
      <c r="F58" s="567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255.9</v>
      </c>
      <c r="E59" s="298" t="str">
        <f>IF(OR(D59-'Finansiniai duomenys'!E69&lt;-0.1,D59-'Finansiniai duomenys'!E69&gt;0.1),"Klaida","Gerai")</f>
        <v>Gerai</v>
      </c>
      <c r="F59" s="297">
        <v>255.9</v>
      </c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216</v>
      </c>
      <c r="E60" s="298" t="str">
        <f>IF(OR(D60-'Finansiniai duomenys'!E80&lt;-0.1,D60-'Finansiniai duomenys'!E80&gt;0.1),"Klaida","Gerai")</f>
        <v>Gerai</v>
      </c>
      <c r="F60" s="299">
        <v>216</v>
      </c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6.7</v>
      </c>
      <c r="E61" s="298" t="str">
        <f>IF(OR(D61-'Finansiniai duomenys'!E82&lt;-0.1,D61-'Finansiniai duomenys'!E82&gt;0.1),"Klaida","Gerai")</f>
        <v>Gerai</v>
      </c>
      <c r="F61" s="299">
        <v>6.7</v>
      </c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33.200000000000003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Gerai</v>
      </c>
      <c r="F62" s="299">
        <v>33.200000000000003</v>
      </c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0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Gerai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255.89999999999998</v>
      </c>
      <c r="E64" s="298" t="str">
        <f>IF(OR(D64-'Finansiniai duomenys'!E99&lt;-0.1,D64-'Finansiniai duomenys'!E99&gt;0.1),"Klaida","Gerai")</f>
        <v>Gerai</v>
      </c>
      <c r="F64" s="361">
        <f>F60+F61+F62</f>
        <v>255.89999999999998</v>
      </c>
      <c r="G64" s="361">
        <f t="shared" ref="G64:R64" si="32">G60+G61+G62</f>
        <v>0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53"/>
      <c r="I70" s="553"/>
      <c r="J70" s="554"/>
      <c r="T70" s="12"/>
    </row>
    <row r="71" spans="1:21" ht="51" customHeight="1" x14ac:dyDescent="0.25">
      <c r="A71" s="12"/>
      <c r="E71" s="368"/>
      <c r="H71" s="497"/>
      <c r="I71" s="497"/>
      <c r="J71" s="555"/>
      <c r="T71" s="12"/>
    </row>
    <row r="72" spans="1:21" x14ac:dyDescent="0.25">
      <c r="A72" s="12"/>
      <c r="E72" s="380" t="s">
        <v>232</v>
      </c>
      <c r="H72" s="556"/>
      <c r="I72" s="556"/>
      <c r="J72" s="557"/>
      <c r="T72" s="12"/>
    </row>
    <row r="73" spans="1:21" x14ac:dyDescent="0.25">
      <c r="A73" s="12"/>
      <c r="E73" s="368" t="s">
        <v>234</v>
      </c>
      <c r="H73" s="558"/>
      <c r="I73" s="558"/>
      <c r="J73" s="559"/>
      <c r="T73" s="12"/>
    </row>
    <row r="74" spans="1:21" x14ac:dyDescent="0.25">
      <c r="A74" s="12"/>
      <c r="E74" s="368" t="s">
        <v>236</v>
      </c>
      <c r="H74" s="558"/>
      <c r="I74" s="558"/>
      <c r="J74" s="559"/>
      <c r="T74" s="12"/>
    </row>
    <row r="75" spans="1:21" x14ac:dyDescent="0.25">
      <c r="A75" s="12"/>
      <c r="E75" s="368" t="s">
        <v>238</v>
      </c>
      <c r="H75" s="558" t="s">
        <v>545</v>
      </c>
      <c r="I75" s="558"/>
      <c r="J75" s="559"/>
      <c r="T75" s="12"/>
    </row>
    <row r="76" spans="1:21" x14ac:dyDescent="0.25">
      <c r="A76" s="12"/>
      <c r="E76" s="369" t="s">
        <v>382</v>
      </c>
      <c r="F76" s="370"/>
      <c r="G76" s="370"/>
      <c r="H76" s="549" t="s">
        <v>546</v>
      </c>
      <c r="I76" s="549"/>
      <c r="J76" s="550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C29:C30"/>
    <mergeCell ref="D29:D30"/>
    <mergeCell ref="F29:F30"/>
    <mergeCell ref="G29:H29"/>
    <mergeCell ref="E29:E30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zoomScaleNormal="100" zoomScaleSheetLayoutView="100" zoomScalePageLayoutView="60" workbookViewId="0">
      <selection activeCell="C15" sqref="C15:D15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2" t="s">
        <v>361</v>
      </c>
      <c r="E2" s="573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40" t="s">
        <v>372</v>
      </c>
      <c r="C4" s="441"/>
      <c r="D4" s="441"/>
      <c r="E4" s="442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43"/>
      <c r="D6" s="443"/>
      <c r="E6" s="444"/>
      <c r="M6" s="40"/>
      <c r="N6" s="40"/>
    </row>
    <row r="7" spans="2:15" x14ac:dyDescent="0.2">
      <c r="B7" s="147" t="s">
        <v>9</v>
      </c>
      <c r="C7" s="431" t="str">
        <f>IFERROR(VLOOKUP(C6,$K$2:$M$5,3,FALSE),"")</f>
        <v/>
      </c>
      <c r="D7" s="431"/>
      <c r="E7" s="432"/>
      <c r="M7" s="40"/>
      <c r="N7" s="40"/>
      <c r="O7" s="40"/>
    </row>
    <row r="8" spans="2:15" x14ac:dyDescent="0.2">
      <c r="B8" s="148" t="s">
        <v>13</v>
      </c>
      <c r="C8" s="431" t="str">
        <f>IFERROR(VLOOKUP(C6,$K$2:$L$5,2,FALSE),"")</f>
        <v/>
      </c>
      <c r="D8" s="431"/>
      <c r="E8" s="432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33"/>
      <c r="D10" s="433"/>
      <c r="E10" s="434"/>
    </row>
    <row r="11" spans="2:15" ht="12" customHeight="1" x14ac:dyDescent="0.2">
      <c r="B11" s="148" t="s">
        <v>29</v>
      </c>
      <c r="C11" s="435"/>
      <c r="D11" s="435"/>
      <c r="E11" s="436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37" t="s">
        <v>36</v>
      </c>
      <c r="D13" s="438"/>
      <c r="E13" s="439"/>
    </row>
    <row r="14" spans="2:15" ht="12" customHeight="1" x14ac:dyDescent="0.2">
      <c r="B14" s="148" t="s">
        <v>40</v>
      </c>
      <c r="C14" s="449" t="s">
        <v>343</v>
      </c>
      <c r="D14" s="449"/>
      <c r="E14" s="150" t="s">
        <v>41</v>
      </c>
    </row>
    <row r="15" spans="2:15" ht="12" customHeight="1" x14ac:dyDescent="0.2">
      <c r="B15" s="151" t="s">
        <v>45</v>
      </c>
      <c r="C15" s="450"/>
      <c r="D15" s="570"/>
      <c r="E15" s="152"/>
      <c r="M15" s="40"/>
      <c r="N15" s="40"/>
    </row>
    <row r="16" spans="2:15" ht="12" customHeight="1" x14ac:dyDescent="0.2">
      <c r="B16" s="151" t="s">
        <v>49</v>
      </c>
      <c r="C16" s="450"/>
      <c r="D16" s="570"/>
      <c r="E16" s="152"/>
      <c r="O16" s="40"/>
    </row>
    <row r="17" spans="2:15" ht="12" customHeight="1" x14ac:dyDescent="0.2">
      <c r="B17" s="151" t="s">
        <v>53</v>
      </c>
      <c r="C17" s="450"/>
      <c r="D17" s="570"/>
      <c r="E17" s="152"/>
      <c r="M17" s="40"/>
      <c r="N17" s="40"/>
    </row>
    <row r="18" spans="2:15" ht="12" customHeight="1" x14ac:dyDescent="0.2">
      <c r="B18" s="151" t="s">
        <v>56</v>
      </c>
      <c r="C18" s="450"/>
      <c r="D18" s="570"/>
      <c r="E18" s="152"/>
      <c r="M18" s="40"/>
      <c r="N18" s="40"/>
      <c r="O18" s="40"/>
    </row>
    <row r="19" spans="2:15" ht="12" customHeight="1" x14ac:dyDescent="0.2">
      <c r="B19" s="151" t="s">
        <v>59</v>
      </c>
      <c r="C19" s="450"/>
      <c r="D19" s="570"/>
      <c r="E19" s="152"/>
      <c r="M19" s="40"/>
      <c r="N19" s="40"/>
      <c r="O19" s="40"/>
    </row>
    <row r="20" spans="2:15" ht="12" customHeight="1" x14ac:dyDescent="0.2">
      <c r="B20" s="151" t="s">
        <v>67</v>
      </c>
      <c r="C20" s="470" t="s">
        <v>68</v>
      </c>
      <c r="D20" s="471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7" t="str">
        <f>IFERROR(VLOOKUP(C6,$K$2:$O$5,4,FALSE),"")</f>
        <v/>
      </c>
      <c r="D22" s="577"/>
      <c r="E22" s="578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21" t="s">
        <v>79</v>
      </c>
      <c r="D24" s="421"/>
      <c r="E24" s="422"/>
      <c r="O24" s="40"/>
    </row>
    <row r="25" spans="2:15" x14ac:dyDescent="0.2">
      <c r="B25" s="159"/>
      <c r="C25" s="456"/>
      <c r="D25" s="456"/>
      <c r="E25" s="457"/>
      <c r="M25" s="40"/>
      <c r="N25" s="40"/>
      <c r="O25" s="40"/>
    </row>
    <row r="26" spans="2:15" x14ac:dyDescent="0.2">
      <c r="B26" s="159"/>
      <c r="C26" s="458" t="s">
        <v>85</v>
      </c>
      <c r="D26" s="458"/>
      <c r="E26" s="459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21" t="s">
        <v>374</v>
      </c>
      <c r="D42" s="421"/>
      <c r="E42" s="422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4" t="s">
        <v>374</v>
      </c>
      <c r="D90" s="574"/>
      <c r="E90" s="575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21" t="s">
        <v>374</v>
      </c>
      <c r="D106" s="421"/>
      <c r="E106" s="422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54"/>
      <c r="D108" s="454"/>
      <c r="E108" s="455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6"/>
      <c r="D113" s="433"/>
      <c r="E113" s="434"/>
    </row>
    <row r="114" spans="2:5" x14ac:dyDescent="0.2">
      <c r="B114" s="159" t="s">
        <v>236</v>
      </c>
      <c r="C114" s="462"/>
      <c r="D114" s="462"/>
      <c r="E114" s="463"/>
    </row>
    <row r="115" spans="2:5" ht="24" x14ac:dyDescent="0.2">
      <c r="B115" s="207" t="s">
        <v>238</v>
      </c>
      <c r="C115" s="484"/>
      <c r="D115" s="484"/>
      <c r="E115" s="571"/>
    </row>
    <row r="116" spans="2:5" ht="24" x14ac:dyDescent="0.2">
      <c r="B116" s="208" t="s">
        <v>240</v>
      </c>
      <c r="C116" s="452"/>
      <c r="D116" s="452"/>
      <c r="E116" s="453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Donatas Grigalis</cp:lastModifiedBy>
  <cp:revision/>
  <dcterms:created xsi:type="dcterms:W3CDTF">2014-03-24T16:58:47Z</dcterms:created>
  <dcterms:modified xsi:type="dcterms:W3CDTF">2024-04-15T07:28:20Z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